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350" windowHeight="7335" activeTab="0"/>
  </bookViews>
  <sheets>
    <sheet name="Emission factors" sheetId="1" r:id="rId1"/>
    <sheet name="Sheet2" sheetId="2" r:id="rId2"/>
    <sheet name="08-001" sheetId="3" r:id="rId3"/>
    <sheet name="08-039" sheetId="4" r:id="rId4"/>
    <sheet name="08-021" sheetId="5" r:id="rId5"/>
    <sheet name="08-003" sheetId="6" r:id="rId6"/>
    <sheet name="08-043" sheetId="7" r:id="rId7"/>
    <sheet name="08-061" sheetId="8" r:id="rId8"/>
    <sheet name="cost vs emissions" sheetId="9" r:id="rId9"/>
  </sheets>
  <definedNames/>
  <calcPr fullCalcOnLoad="1"/>
</workbook>
</file>

<file path=xl/sharedStrings.xml><?xml version="1.0" encoding="utf-8"?>
<sst xmlns="http://schemas.openxmlformats.org/spreadsheetml/2006/main" count="204" uniqueCount="97">
  <si>
    <t>Rail</t>
  </si>
  <si>
    <t>Air (long-haul)</t>
  </si>
  <si>
    <t>CO2 emisson</t>
  </si>
  <si>
    <t>g CO2-e/(tonne-km)</t>
  </si>
  <si>
    <t>Equiv efficiency</t>
  </si>
  <si>
    <t>Truck (long-haul)</t>
  </si>
  <si>
    <t>MJ / Liter-diesel</t>
  </si>
  <si>
    <t>g CO2 / Liter-diesel</t>
  </si>
  <si>
    <t>g CO2 / Liter-jetfuel</t>
  </si>
  <si>
    <t>Truck (short-haul)</t>
  </si>
  <si>
    <t>Truck (India)</t>
  </si>
  <si>
    <t>Exemplar truck - developing world Tata 1201 (5 tonne) MJ/(tonne-km)</t>
  </si>
  <si>
    <t>Exemplar truck - developed world Mercedes 1217 (7 tonne) MJ/(tonne-km)</t>
  </si>
  <si>
    <t>Ship</t>
  </si>
  <si>
    <t>(tonne - km)/L</t>
  </si>
  <si>
    <t>Pickup</t>
  </si>
  <si>
    <t>6mpg</t>
  </si>
  <si>
    <t>8mpg</t>
  </si>
  <si>
    <t>L/km</t>
  </si>
  <si>
    <t>mpg</t>
  </si>
  <si>
    <t>Tonne capacity</t>
  </si>
  <si>
    <t>L/(km-tonne)</t>
  </si>
  <si>
    <t>(km-tonne)/L</t>
  </si>
  <si>
    <t>g CO2 / (km - tonne)</t>
  </si>
  <si>
    <t>Leg 1</t>
  </si>
  <si>
    <t>Leg</t>
  </si>
  <si>
    <t>km</t>
  </si>
  <si>
    <t>Tonnes</t>
  </si>
  <si>
    <t>Leg 2</t>
  </si>
  <si>
    <t>Leg 3</t>
  </si>
  <si>
    <t>Factor</t>
  </si>
  <si>
    <t>Total</t>
  </si>
  <si>
    <t>Grobbendonk Belgium to Zeebrugge, Belgium</t>
  </si>
  <si>
    <t>Calcutta, India to Nepalganj, Nepal</t>
  </si>
  <si>
    <t>Nike apparel</t>
  </si>
  <si>
    <t>Assumptions</t>
  </si>
  <si>
    <t>(g CO2/(km-tonne)</t>
  </si>
  <si>
    <t>(T CO2)</t>
  </si>
  <si>
    <t>Distance</t>
  </si>
  <si>
    <t>Zeebrugge, Belgium to Calcutta, India</t>
  </si>
  <si>
    <t>Refurbished computers</t>
  </si>
  <si>
    <t>Portland, OR to Tacoma, WA</t>
  </si>
  <si>
    <t>Tacoma, WA to Xingang, China</t>
  </si>
  <si>
    <t>Xingang China to Ulaanbaatar, Mongolia</t>
  </si>
  <si>
    <t>Mode</t>
  </si>
  <si>
    <t>Ocean freight</t>
  </si>
  <si>
    <t>Short-haul truck</t>
  </si>
  <si>
    <t>"India" truck</t>
  </si>
  <si>
    <t>Long-haul truck</t>
  </si>
  <si>
    <t>Leg 4</t>
  </si>
  <si>
    <t>Trucked to project sites throughout Mongolia</t>
  </si>
  <si>
    <t>Pharmaceuticals</t>
  </si>
  <si>
    <t>Leg SUV</t>
  </si>
  <si>
    <t>Collected from thoughout PDX</t>
  </si>
  <si>
    <t>SUV</t>
  </si>
  <si>
    <t>Weight each computer (kg)</t>
  </si>
  <si>
    <t># collection trips</t>
  </si>
  <si>
    <t>Length of each collection trip</t>
  </si>
  <si>
    <t>SUV efficiency (L/km)</t>
  </si>
  <si>
    <t>.</t>
  </si>
  <si>
    <t>g CO2 / Liter-petrol</t>
  </si>
  <si>
    <t>SUV emission factor (g CO2 / km)</t>
  </si>
  <si>
    <t>(g CO2/km)</t>
  </si>
  <si>
    <t>Holland to Kuwait</t>
  </si>
  <si>
    <t>Air</t>
  </si>
  <si>
    <t>Kuwait to Nasiriyah, Iraq</t>
  </si>
  <si>
    <t>Nasiriyah, Iraq to Wassit and Basra, Iraq</t>
  </si>
  <si>
    <t>Collection leg</t>
  </si>
  <si>
    <t>Unknown</t>
  </si>
  <si>
    <t>Latex paint &amp; brushes</t>
  </si>
  <si>
    <t>Portland, OR to NY, NY</t>
  </si>
  <si>
    <t>New York, NY to Monrovia, Liberia</t>
  </si>
  <si>
    <t>Monrovia, Liberia to 15 counties in Liberia</t>
  </si>
  <si>
    <t>Length of each distribution trip in Liberia (km)</t>
  </si>
  <si>
    <t>GIK cost</t>
  </si>
  <si>
    <t>True cost</t>
  </si>
  <si>
    <t>Emissions</t>
  </si>
  <si>
    <t>True cost ($k)</t>
  </si>
  <si>
    <t>Hygiene &amp; School Kits to Guatemala</t>
  </si>
  <si>
    <t>Leg UPS</t>
  </si>
  <si>
    <t>Collected from thoughout the country to local community centers</t>
  </si>
  <si>
    <t>Length of each collection trip (km)</t>
  </si>
  <si>
    <t>UPS shipments</t>
  </si>
  <si>
    <t>UPS</t>
  </si>
  <si>
    <t>T CO2/package (ref: UPS)</t>
  </si>
  <si>
    <t>Baltimore, MD to Port Everglades, FL</t>
  </si>
  <si>
    <t>Port Everglades, FL to Puerto Barrios, Guatemala</t>
  </si>
  <si>
    <t>Puerto Barrios, Guatemala to Coban, Guatemala</t>
  </si>
  <si>
    <t>Coban to local schools</t>
  </si>
  <si>
    <t>Verapaz delivery distance RT (km)</t>
  </si>
  <si>
    <t>%</t>
  </si>
  <si>
    <t>Male latex condoms</t>
  </si>
  <si>
    <t>Eufaula, AL to Toronto, Canada</t>
  </si>
  <si>
    <t>Toronto to London</t>
  </si>
  <si>
    <t>Air freight</t>
  </si>
  <si>
    <t>London to Nairobi</t>
  </si>
  <si>
    <t>Nairobi to IDP camp in Nakuru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</si>
</sst>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  <numFmt numFmtId="170" formatCode="_(* #,##0.0_);_(* \(#,##0.0\);_(* &quot;-&quot;??_);_(@_)"/>
    <numFmt numFmtId="171" formatCode="_(* #,##0_);_(* \(#,##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/>
    </xf>
    <xf numFmtId="168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1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right" wrapText="1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right" wrapText="1"/>
    </xf>
    <xf numFmtId="1" fontId="0" fillId="0" borderId="0" xfId="0" applyNumberFormat="1" applyAlignment="1">
      <alignment horizontal="right" wrapText="1"/>
    </xf>
    <xf numFmtId="171" fontId="0" fillId="0" borderId="0" xfId="15" applyNumberFormat="1" applyAlignment="1">
      <alignment horizontal="right"/>
    </xf>
    <xf numFmtId="171" fontId="0" fillId="0" borderId="0" xfId="15" applyNumberFormat="1" applyAlignment="1">
      <alignment horizontal="right" wrapText="1"/>
    </xf>
    <xf numFmtId="0" fontId="2" fillId="0" borderId="0" xfId="0" applyFont="1" applyAlignment="1">
      <alignment wrapText="1"/>
    </xf>
    <xf numFmtId="171" fontId="2" fillId="0" borderId="0" xfId="15" applyNumberFormat="1" applyFont="1" applyAlignment="1">
      <alignment horizontal="right" wrapText="1"/>
    </xf>
    <xf numFmtId="0" fontId="2" fillId="0" borderId="0" xfId="0" applyFont="1" applyAlignment="1">
      <alignment horizontal="right" wrapText="1"/>
    </xf>
    <xf numFmtId="2" fontId="2" fillId="0" borderId="0" xfId="0" applyNumberFormat="1" applyFont="1" applyAlignment="1">
      <alignment horizontal="right" wrapText="1"/>
    </xf>
    <xf numFmtId="171" fontId="0" fillId="0" borderId="0" xfId="15" applyNumberFormat="1" applyFont="1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171" fontId="0" fillId="0" borderId="1" xfId="15" applyNumberFormat="1" applyBorder="1" applyAlignment="1">
      <alignment horizontal="right"/>
    </xf>
    <xf numFmtId="171" fontId="0" fillId="0" borderId="1" xfId="15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171" fontId="0" fillId="0" borderId="0" xfId="15" applyNumberFormat="1" applyFont="1" applyAlignment="1">
      <alignment horizontal="right" wrapText="1"/>
    </xf>
    <xf numFmtId="9" fontId="0" fillId="0" borderId="0" xfId="19" applyAlignment="1">
      <alignment horizontal="right"/>
    </xf>
    <xf numFmtId="0" fontId="2" fillId="0" borderId="0" xfId="0" applyFont="1" applyAlignment="1">
      <alignment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'cost vs emissions'!$D$3:$D$7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'cost vs emissions'!$E$3:$E$7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56508691"/>
        <c:axId val="38816172"/>
      </c:scatterChart>
      <c:valAx>
        <c:axId val="56508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Cost (thousands of collars)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816172"/>
        <c:crosses val="autoZero"/>
        <c:crossBetween val="midCat"/>
        <c:dispUnits/>
      </c:valAx>
      <c:valAx>
        <c:axId val="388161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Tonnes of CO2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5086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13</xdr:row>
      <xdr:rowOff>47625</xdr:rowOff>
    </xdr:from>
    <xdr:to>
      <xdr:col>15</xdr:col>
      <xdr:colOff>123825</xdr:colOff>
      <xdr:row>39</xdr:row>
      <xdr:rowOff>133350</xdr:rowOff>
    </xdr:to>
    <xdr:graphicFrame>
      <xdr:nvGraphicFramePr>
        <xdr:cNvPr id="1" name="Chart 4"/>
        <xdr:cNvGraphicFramePr/>
      </xdr:nvGraphicFramePr>
      <xdr:xfrm>
        <a:off x="3228975" y="2152650"/>
        <a:ext cx="645795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workbookViewId="0" topLeftCell="A1">
      <selection activeCell="C16" sqref="C16"/>
    </sheetView>
  </sheetViews>
  <sheetFormatPr defaultColWidth="9.140625" defaultRowHeight="12.75"/>
  <cols>
    <col min="1" max="1" width="20.57421875" style="0" customWidth="1"/>
    <col min="2" max="2" width="17.421875" style="1" customWidth="1"/>
    <col min="3" max="3" width="14.421875" style="1" customWidth="1"/>
  </cols>
  <sheetData>
    <row r="1" spans="2:3" ht="12.75">
      <c r="B1" s="1" t="s">
        <v>2</v>
      </c>
      <c r="C1" s="1" t="s">
        <v>4</v>
      </c>
    </row>
    <row r="2" spans="2:3" ht="12.75">
      <c r="B2" s="1" t="s">
        <v>3</v>
      </c>
      <c r="C2" s="1" t="s">
        <v>14</v>
      </c>
    </row>
    <row r="3" spans="1:3" ht="12.75">
      <c r="A3" t="s">
        <v>13</v>
      </c>
      <c r="B3" s="1">
        <v>14</v>
      </c>
      <c r="C3" s="2">
        <f>$B$27/B3</f>
        <v>192.85714285714286</v>
      </c>
    </row>
    <row r="4" spans="1:3" ht="12.75">
      <c r="A4" t="s">
        <v>0</v>
      </c>
      <c r="B4" s="1">
        <v>26.4</v>
      </c>
      <c r="C4" s="2">
        <f>$B$27/B4</f>
        <v>102.27272727272728</v>
      </c>
    </row>
    <row r="5" spans="1:3" ht="12.75">
      <c r="A5" t="s">
        <v>5</v>
      </c>
      <c r="B5" s="1">
        <v>63</v>
      </c>
      <c r="C5" s="2">
        <f>$B$27/B5</f>
        <v>42.857142857142854</v>
      </c>
    </row>
    <row r="6" spans="1:3" ht="12.75">
      <c r="A6" t="s">
        <v>9</v>
      </c>
      <c r="B6" s="4">
        <f>$B$27/C6</f>
        <v>70.47768206734534</v>
      </c>
      <c r="C6" s="2">
        <f>B29/$B$31</f>
        <v>38.31</v>
      </c>
    </row>
    <row r="7" spans="1:3" ht="12.75">
      <c r="A7" t="s">
        <v>10</v>
      </c>
      <c r="B7" s="4">
        <f>$B$27/C7</f>
        <v>148.00313234142521</v>
      </c>
      <c r="C7" s="2">
        <f>B29/$B$30</f>
        <v>18.242857142857144</v>
      </c>
    </row>
    <row r="8" spans="1:3" ht="12.75">
      <c r="A8" t="s">
        <v>15</v>
      </c>
      <c r="B8" s="4">
        <v>635</v>
      </c>
      <c r="C8" s="2">
        <f>$B$27/B8</f>
        <v>4.251968503937008</v>
      </c>
    </row>
    <row r="9" spans="1:3" ht="12.75">
      <c r="A9" t="s">
        <v>1</v>
      </c>
      <c r="B9" s="1">
        <v>570</v>
      </c>
      <c r="C9" s="2">
        <f>$B$28/B9</f>
        <v>4.421052631578948</v>
      </c>
    </row>
    <row r="14" spans="1:3" ht="12.75">
      <c r="A14" t="s">
        <v>58</v>
      </c>
      <c r="B14" s="1" t="s">
        <v>59</v>
      </c>
      <c r="C14" s="1">
        <v>0.09</v>
      </c>
    </row>
    <row r="15" spans="1:3" ht="25.5">
      <c r="A15" s="3" t="s">
        <v>61</v>
      </c>
      <c r="C15" s="1">
        <f>C14*B26</f>
        <v>207</v>
      </c>
    </row>
    <row r="26" spans="1:2" ht="12.75">
      <c r="A26" t="s">
        <v>60</v>
      </c>
      <c r="B26" s="1">
        <v>2300</v>
      </c>
    </row>
    <row r="27" spans="1:2" ht="12.75">
      <c r="A27" t="s">
        <v>7</v>
      </c>
      <c r="B27" s="1">
        <v>2700</v>
      </c>
    </row>
    <row r="28" spans="1:2" ht="12.75">
      <c r="A28" t="s">
        <v>8</v>
      </c>
      <c r="B28" s="1">
        <v>2520</v>
      </c>
    </row>
    <row r="29" spans="1:2" ht="12.75">
      <c r="A29" t="s">
        <v>6</v>
      </c>
      <c r="B29" s="1">
        <v>38.31</v>
      </c>
    </row>
    <row r="30" spans="1:2" ht="72.75" customHeight="1">
      <c r="A30" s="3" t="s">
        <v>11</v>
      </c>
      <c r="B30" s="1">
        <v>2.1</v>
      </c>
    </row>
    <row r="31" spans="1:2" ht="72.75" customHeight="1">
      <c r="A31" s="3" t="s">
        <v>12</v>
      </c>
      <c r="B31" s="1">
        <v>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C19"/>
  <sheetViews>
    <sheetView workbookViewId="0" topLeftCell="A1">
      <selection activeCell="B14" sqref="B14"/>
    </sheetView>
  </sheetViews>
  <sheetFormatPr defaultColWidth="9.140625" defaultRowHeight="12.75"/>
  <cols>
    <col min="1" max="1" width="18.7109375" style="0" customWidth="1"/>
  </cols>
  <sheetData>
    <row r="4" spans="2:3" ht="12.75">
      <c r="B4" t="s">
        <v>16</v>
      </c>
      <c r="C4" t="s">
        <v>17</v>
      </c>
    </row>
    <row r="5" spans="1:3" ht="12.75">
      <c r="A5">
        <v>20</v>
      </c>
      <c r="B5">
        <v>52.8</v>
      </c>
      <c r="C5">
        <v>39.7</v>
      </c>
    </row>
    <row r="6" spans="1:3" ht="12.75">
      <c r="A6">
        <v>40</v>
      </c>
      <c r="B6">
        <v>26.4</v>
      </c>
      <c r="C6">
        <v>19.8</v>
      </c>
    </row>
    <row r="13" spans="1:2" ht="12.75">
      <c r="A13" t="s">
        <v>19</v>
      </c>
      <c r="B13">
        <v>6</v>
      </c>
    </row>
    <row r="14" spans="1:2" ht="12.75">
      <c r="A14" t="s">
        <v>18</v>
      </c>
      <c r="B14">
        <f>2.35/B13</f>
        <v>0.39166666666666666</v>
      </c>
    </row>
    <row r="15" spans="1:2" ht="12.75">
      <c r="A15" t="s">
        <v>20</v>
      </c>
      <c r="B15">
        <v>16</v>
      </c>
    </row>
    <row r="16" spans="1:2" ht="12.75">
      <c r="A16" t="s">
        <v>21</v>
      </c>
      <c r="B16">
        <f>B14/B15</f>
        <v>0.024479166666666666</v>
      </c>
    </row>
    <row r="17" spans="1:2" ht="12.75">
      <c r="A17" t="s">
        <v>22</v>
      </c>
      <c r="B17">
        <f>1/B16</f>
        <v>40.851063829787236</v>
      </c>
    </row>
    <row r="18" spans="1:2" ht="12.75">
      <c r="A18" t="s">
        <v>7</v>
      </c>
      <c r="B18" s="1">
        <v>2700</v>
      </c>
    </row>
    <row r="19" spans="1:2" ht="12.75">
      <c r="A19" t="s">
        <v>23</v>
      </c>
      <c r="B19">
        <f>B16*B18</f>
        <v>66.09375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C31" sqref="C31"/>
    </sheetView>
  </sheetViews>
  <sheetFormatPr defaultColWidth="9.140625" defaultRowHeight="12.75"/>
  <cols>
    <col min="1" max="1" width="16.8515625" style="0" customWidth="1"/>
    <col min="2" max="2" width="22.421875" style="3" customWidth="1"/>
    <col min="3" max="3" width="14.8515625" style="0" customWidth="1"/>
    <col min="4" max="4" width="10.28125" style="10" bestFit="1" customWidth="1"/>
    <col min="5" max="5" width="12.00390625" style="10" customWidth="1"/>
    <col min="6" max="6" width="16.57421875" style="1" customWidth="1"/>
    <col min="7" max="7" width="9.57421875" style="7" bestFit="1" customWidth="1"/>
    <col min="8" max="8" width="9.140625" style="1" customWidth="1"/>
  </cols>
  <sheetData>
    <row r="1" spans="2:3" ht="12.75">
      <c r="B1" s="25" t="s">
        <v>78</v>
      </c>
      <c r="C1" s="26"/>
    </row>
    <row r="2" spans="4:7" ht="12.75">
      <c r="D2" s="10" t="s">
        <v>38</v>
      </c>
      <c r="E2" s="16" t="s">
        <v>30</v>
      </c>
      <c r="F2" s="1" t="s">
        <v>30</v>
      </c>
      <c r="G2" s="7" t="s">
        <v>31</v>
      </c>
    </row>
    <row r="3" spans="1:8" ht="12.75">
      <c r="A3" s="17" t="s">
        <v>25</v>
      </c>
      <c r="B3" s="18"/>
      <c r="C3" s="17" t="s">
        <v>44</v>
      </c>
      <c r="D3" s="19" t="s">
        <v>26</v>
      </c>
      <c r="E3" s="20" t="s">
        <v>62</v>
      </c>
      <c r="F3" s="21" t="s">
        <v>36</v>
      </c>
      <c r="G3" s="22" t="s">
        <v>37</v>
      </c>
      <c r="H3" s="1" t="s">
        <v>90</v>
      </c>
    </row>
    <row r="4" spans="1:8" ht="38.25">
      <c r="A4" t="s">
        <v>52</v>
      </c>
      <c r="B4" s="3" t="s">
        <v>80</v>
      </c>
      <c r="C4" t="s">
        <v>54</v>
      </c>
      <c r="D4" s="10">
        <f>$B$26*$B$27</f>
        <v>13600</v>
      </c>
      <c r="E4" s="10">
        <f>'Emission factors'!$C$15</f>
        <v>207</v>
      </c>
      <c r="G4" s="7">
        <f>D4*E4/1000000</f>
        <v>2.8152</v>
      </c>
      <c r="H4" s="24">
        <f>G4/G$11</f>
        <v>0.3433660262913259</v>
      </c>
    </row>
    <row r="5" spans="1:8" ht="12.75">
      <c r="A5" t="s">
        <v>79</v>
      </c>
      <c r="B5" s="3" t="s">
        <v>82</v>
      </c>
      <c r="C5" t="s">
        <v>83</v>
      </c>
      <c r="G5" s="8">
        <f>680*$B$29</f>
        <v>1.4280000000000002</v>
      </c>
      <c r="H5" s="24">
        <f aca="true" t="shared" si="0" ref="H5:H11">G5/G$11</f>
        <v>0.17417117275646968</v>
      </c>
    </row>
    <row r="6" spans="1:8" s="3" customFormat="1" ht="25.5">
      <c r="A6" s="3" t="s">
        <v>24</v>
      </c>
      <c r="B6" s="3" t="s">
        <v>85</v>
      </c>
      <c r="C6" s="3" t="s">
        <v>48</v>
      </c>
      <c r="D6" s="11">
        <v>1600</v>
      </c>
      <c r="E6" s="11"/>
      <c r="F6" s="9">
        <f>'Emission factors'!$B$5</f>
        <v>63</v>
      </c>
      <c r="G6" s="8">
        <f>D6*F6*$B$25/1000000</f>
        <v>1.7035199999999997</v>
      </c>
      <c r="H6" s="24">
        <f t="shared" si="0"/>
        <v>0.20777596373536497</v>
      </c>
    </row>
    <row r="7" spans="1:8" s="3" customFormat="1" ht="38.25">
      <c r="A7" s="3" t="s">
        <v>28</v>
      </c>
      <c r="B7" s="3" t="s">
        <v>86</v>
      </c>
      <c r="C7" s="3" t="s">
        <v>45</v>
      </c>
      <c r="D7" s="11">
        <v>1600</v>
      </c>
      <c r="E7" s="11"/>
      <c r="F7" s="6">
        <f>'Emission factors'!$B$3</f>
        <v>14</v>
      </c>
      <c r="G7" s="8">
        <f>D7*F7*$B$25/1000000</f>
        <v>0.37855999999999995</v>
      </c>
      <c r="H7" s="24">
        <f t="shared" si="0"/>
        <v>0.04617243638563666</v>
      </c>
    </row>
    <row r="8" spans="1:8" s="3" customFormat="1" ht="38.25">
      <c r="A8" s="3" t="s">
        <v>29</v>
      </c>
      <c r="B8" s="3" t="s">
        <v>87</v>
      </c>
      <c r="C8" s="3" t="s">
        <v>47</v>
      </c>
      <c r="D8" s="11">
        <v>320</v>
      </c>
      <c r="E8" s="11"/>
      <c r="F8" s="9">
        <f>'Emission factors'!$B$7</f>
        <v>148.00313234142521</v>
      </c>
      <c r="G8" s="8">
        <f>D8*F8*$B$25/1000000</f>
        <v>0.8004009397024276</v>
      </c>
      <c r="H8" s="24">
        <f t="shared" si="0"/>
        <v>0.09762378875584887</v>
      </c>
    </row>
    <row r="9" spans="1:8" s="3" customFormat="1" ht="12.75">
      <c r="A9" s="3" t="s">
        <v>49</v>
      </c>
      <c r="B9" s="3" t="s">
        <v>88</v>
      </c>
      <c r="C9" s="3" t="s">
        <v>15</v>
      </c>
      <c r="D9" s="23">
        <f>$B$31</f>
        <v>100</v>
      </c>
      <c r="E9" s="11"/>
      <c r="F9" s="9">
        <f>'Emission factors'!$B$8</f>
        <v>635</v>
      </c>
      <c r="G9" s="8">
        <f>D9*F9*$B$25/1000000</f>
        <v>1.07315</v>
      </c>
      <c r="H9" s="24">
        <f t="shared" si="0"/>
        <v>0.13089061207535393</v>
      </c>
    </row>
    <row r="10" spans="4:8" s="3" customFormat="1" ht="12.75">
      <c r="D10" s="11"/>
      <c r="E10" s="11"/>
      <c r="F10" s="9"/>
      <c r="G10" s="8"/>
      <c r="H10" s="24"/>
    </row>
    <row r="11" spans="1:8" s="12" customFormat="1" ht="12.75">
      <c r="A11" s="12" t="s">
        <v>31</v>
      </c>
      <c r="D11" s="13">
        <f>SUM(D6:D9)</f>
        <v>3620</v>
      </c>
      <c r="E11" s="13"/>
      <c r="F11" s="14"/>
      <c r="G11" s="15">
        <f>SUM(G4:G9)</f>
        <v>8.198830939702427</v>
      </c>
      <c r="H11" s="24">
        <f t="shared" si="0"/>
        <v>1</v>
      </c>
    </row>
    <row r="12" spans="4:8" s="3" customFormat="1" ht="12.75">
      <c r="D12" s="11"/>
      <c r="E12" s="11"/>
      <c r="F12" s="6"/>
      <c r="G12" s="8"/>
      <c r="H12" s="6"/>
    </row>
    <row r="13" spans="4:8" s="3" customFormat="1" ht="12.75">
      <c r="D13" s="11"/>
      <c r="E13" s="11"/>
      <c r="F13" s="6"/>
      <c r="G13" s="8"/>
      <c r="H13" s="6"/>
    </row>
    <row r="14" spans="4:8" s="3" customFormat="1" ht="12.75">
      <c r="D14" s="11"/>
      <c r="E14" s="11"/>
      <c r="F14" s="6"/>
      <c r="G14" s="8"/>
      <c r="H14" s="6"/>
    </row>
    <row r="15" spans="4:8" s="3" customFormat="1" ht="12.75">
      <c r="D15" s="11"/>
      <c r="E15" s="11"/>
      <c r="F15" s="6"/>
      <c r="G15" s="8"/>
      <c r="H15" s="6"/>
    </row>
    <row r="24" ht="12.75">
      <c r="A24" s="3" t="s">
        <v>35</v>
      </c>
    </row>
    <row r="25" spans="1:2" ht="12.75">
      <c r="A25" s="3" t="s">
        <v>27</v>
      </c>
      <c r="B25" s="3">
        <v>16.9</v>
      </c>
    </row>
    <row r="26" spans="1:2" ht="12.75">
      <c r="A26" s="3" t="s">
        <v>56</v>
      </c>
      <c r="B26" s="3">
        <v>680</v>
      </c>
    </row>
    <row r="27" spans="1:2" ht="25.5">
      <c r="A27" s="3" t="s">
        <v>81</v>
      </c>
      <c r="B27" s="3">
        <v>20</v>
      </c>
    </row>
    <row r="28" ht="12.75">
      <c r="A28" s="3"/>
    </row>
    <row r="29" spans="1:2" ht="25.5">
      <c r="A29" s="3" t="s">
        <v>84</v>
      </c>
      <c r="B29" s="3">
        <f>2.1/1000</f>
        <v>0.0021000000000000003</v>
      </c>
    </row>
    <row r="31" spans="1:2" ht="25.5">
      <c r="A31" s="3" t="s">
        <v>89</v>
      </c>
      <c r="B31" s="3">
        <v>100</v>
      </c>
    </row>
  </sheetData>
  <mergeCells count="1">
    <mergeCell ref="B1:C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F4" sqref="F4"/>
    </sheetView>
  </sheetViews>
  <sheetFormatPr defaultColWidth="9.140625" defaultRowHeight="12.75"/>
  <cols>
    <col min="1" max="1" width="16.8515625" style="0" customWidth="1"/>
    <col min="2" max="2" width="22.421875" style="3" customWidth="1"/>
    <col min="3" max="3" width="14.8515625" style="0" customWidth="1"/>
    <col min="4" max="4" width="10.28125" style="10" bestFit="1" customWidth="1"/>
    <col min="5" max="5" width="12.00390625" style="10" customWidth="1"/>
    <col min="6" max="6" width="16.140625" style="1" customWidth="1"/>
    <col min="7" max="7" width="9.57421875" style="7" bestFit="1" customWidth="1"/>
  </cols>
  <sheetData>
    <row r="1" spans="2:3" ht="12.75">
      <c r="B1" s="12" t="s">
        <v>91</v>
      </c>
      <c r="C1" s="5"/>
    </row>
    <row r="2" spans="4:7" ht="12.75">
      <c r="D2" s="10" t="s">
        <v>38</v>
      </c>
      <c r="E2" s="16" t="s">
        <v>30</v>
      </c>
      <c r="F2" s="1" t="s">
        <v>30</v>
      </c>
      <c r="G2" s="7" t="s">
        <v>31</v>
      </c>
    </row>
    <row r="3" spans="1:7" ht="12.75">
      <c r="A3" s="17" t="s">
        <v>25</v>
      </c>
      <c r="B3" s="18"/>
      <c r="C3" s="17" t="s">
        <v>44</v>
      </c>
      <c r="D3" s="19" t="s">
        <v>26</v>
      </c>
      <c r="E3" s="20" t="s">
        <v>62</v>
      </c>
      <c r="F3" s="21" t="s">
        <v>36</v>
      </c>
      <c r="G3" s="22" t="s">
        <v>37</v>
      </c>
    </row>
    <row r="4" spans="1:7" s="3" customFormat="1" ht="25.5">
      <c r="A4" s="3" t="s">
        <v>24</v>
      </c>
      <c r="B4" s="3" t="s">
        <v>92</v>
      </c>
      <c r="C4" s="3" t="s">
        <v>48</v>
      </c>
      <c r="D4" s="11">
        <v>1800</v>
      </c>
      <c r="E4" s="11"/>
      <c r="F4" s="9">
        <f>'Emission factors'!$B$5</f>
        <v>63</v>
      </c>
      <c r="G4" s="8">
        <f>D4*F4*$B$23/1000000</f>
        <v>0.1136268</v>
      </c>
    </row>
    <row r="5" spans="1:7" s="3" customFormat="1" ht="12.75">
      <c r="A5" s="3" t="s">
        <v>28</v>
      </c>
      <c r="B5" s="3" t="s">
        <v>93</v>
      </c>
      <c r="C5" s="3" t="s">
        <v>94</v>
      </c>
      <c r="D5" s="11">
        <v>5800</v>
      </c>
      <c r="E5" s="11"/>
      <c r="F5" s="6">
        <f>'Emission factors'!$B$9</f>
        <v>570</v>
      </c>
      <c r="G5" s="8">
        <f>D5*F5*$B$23/1000000</f>
        <v>3.312612</v>
      </c>
    </row>
    <row r="6" spans="1:7" s="3" customFormat="1" ht="12.75">
      <c r="A6" s="3" t="s">
        <v>29</v>
      </c>
      <c r="B6" s="3" t="s">
        <v>95</v>
      </c>
      <c r="C6" s="3" t="s">
        <v>94</v>
      </c>
      <c r="D6" s="11">
        <v>6800</v>
      </c>
      <c r="E6" s="11"/>
      <c r="F6" s="6">
        <f>'Emission factors'!$B$9</f>
        <v>570</v>
      </c>
      <c r="G6" s="8">
        <f>D6*F6*$B$23/1000000</f>
        <v>3.883752</v>
      </c>
    </row>
    <row r="7" spans="1:7" s="3" customFormat="1" ht="25.5">
      <c r="A7" s="3" t="s">
        <v>49</v>
      </c>
      <c r="B7" s="3" t="s">
        <v>96</v>
      </c>
      <c r="C7" s="3" t="s">
        <v>47</v>
      </c>
      <c r="D7" s="11">
        <v>160</v>
      </c>
      <c r="E7" s="11"/>
      <c r="F7" s="9">
        <f>'Emission factors'!$B$7</f>
        <v>148.00313234142521</v>
      </c>
      <c r="G7" s="8">
        <f>D7*F7*$B$23/1000000</f>
        <v>0.02372786217697729</v>
      </c>
    </row>
    <row r="8" spans="4:7" s="3" customFormat="1" ht="12.75">
      <c r="D8" s="11"/>
      <c r="E8" s="11"/>
      <c r="F8" s="9"/>
      <c r="G8" s="8"/>
    </row>
    <row r="9" spans="1:7" s="12" customFormat="1" ht="12.75">
      <c r="A9" s="12" t="s">
        <v>31</v>
      </c>
      <c r="D9" s="13">
        <f>SUM(D4:D7)</f>
        <v>14560</v>
      </c>
      <c r="E9" s="13"/>
      <c r="F9" s="14"/>
      <c r="G9" s="15">
        <f>SUM(G4:G7)</f>
        <v>7.3337186621769765</v>
      </c>
    </row>
    <row r="10" spans="4:7" s="3" customFormat="1" ht="12.75">
      <c r="D10" s="11"/>
      <c r="E10" s="11"/>
      <c r="F10" s="6"/>
      <c r="G10" s="8"/>
    </row>
    <row r="11" spans="4:7" s="3" customFormat="1" ht="12.75">
      <c r="D11" s="11"/>
      <c r="E11" s="11"/>
      <c r="F11" s="6"/>
      <c r="G11" s="8"/>
    </row>
    <row r="12" spans="4:7" s="3" customFormat="1" ht="12.75">
      <c r="D12" s="11"/>
      <c r="E12" s="11"/>
      <c r="F12" s="6"/>
      <c r="G12" s="8"/>
    </row>
    <row r="13" spans="4:7" s="3" customFormat="1" ht="12.75">
      <c r="D13" s="11"/>
      <c r="E13" s="11"/>
      <c r="F13" s="6"/>
      <c r="G13" s="8"/>
    </row>
    <row r="22" ht="12.75">
      <c r="A22" s="3" t="s">
        <v>35</v>
      </c>
    </row>
    <row r="23" spans="1:2" ht="12.75">
      <c r="A23" s="3" t="s">
        <v>27</v>
      </c>
      <c r="B23" s="3">
        <v>1.002</v>
      </c>
    </row>
    <row r="24" ht="12.75">
      <c r="A24" s="3"/>
    </row>
    <row r="25" ht="12.75">
      <c r="A25" s="3"/>
    </row>
    <row r="26" ht="12.75">
      <c r="A26" s="3"/>
    </row>
    <row r="27" ht="12.75">
      <c r="A27" s="3"/>
    </row>
    <row r="28" ht="12.75">
      <c r="A28" s="3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E31" sqref="E31"/>
    </sheetView>
  </sheetViews>
  <sheetFormatPr defaultColWidth="9.140625" defaultRowHeight="12.75"/>
  <cols>
    <col min="2" max="2" width="22.421875" style="0" customWidth="1"/>
    <col min="3" max="3" width="15.57421875" style="0" customWidth="1"/>
    <col min="4" max="4" width="10.28125" style="10" bestFit="1" customWidth="1"/>
    <col min="5" max="5" width="12.421875" style="10" customWidth="1"/>
    <col min="6" max="6" width="17.57421875" style="1" customWidth="1"/>
    <col min="7" max="7" width="9.140625" style="7" customWidth="1"/>
  </cols>
  <sheetData>
    <row r="1" spans="2:3" ht="12.75">
      <c r="B1" s="5" t="s">
        <v>34</v>
      </c>
      <c r="C1" s="5"/>
    </row>
    <row r="2" spans="4:7" ht="12.75">
      <c r="D2" s="10" t="s">
        <v>38</v>
      </c>
      <c r="E2" s="16" t="s">
        <v>30</v>
      </c>
      <c r="F2" s="1" t="s">
        <v>30</v>
      </c>
      <c r="G2" s="7" t="s">
        <v>31</v>
      </c>
    </row>
    <row r="3" spans="1:7" ht="12.75">
      <c r="A3" s="17" t="s">
        <v>25</v>
      </c>
      <c r="B3" s="17"/>
      <c r="C3" s="17" t="s">
        <v>44</v>
      </c>
      <c r="D3" s="19" t="s">
        <v>26</v>
      </c>
      <c r="E3" s="20" t="s">
        <v>62</v>
      </c>
      <c r="F3" s="21" t="s">
        <v>36</v>
      </c>
      <c r="G3" s="22" t="s">
        <v>37</v>
      </c>
    </row>
    <row r="4" spans="1:7" s="3" customFormat="1" ht="25.5">
      <c r="A4" s="3" t="s">
        <v>24</v>
      </c>
      <c r="B4" s="3" t="s">
        <v>32</v>
      </c>
      <c r="C4" s="3" t="s">
        <v>46</v>
      </c>
      <c r="D4" s="11">
        <v>130</v>
      </c>
      <c r="E4" s="11"/>
      <c r="F4" s="9">
        <f>'Emission factors'!$B$6</f>
        <v>70.47768206734534</v>
      </c>
      <c r="G4" s="8">
        <f>D4*F4*$B$22/1000000</f>
        <v>0.0934534064212999</v>
      </c>
    </row>
    <row r="5" spans="1:7" s="3" customFormat="1" ht="25.5">
      <c r="A5" s="3" t="s">
        <v>28</v>
      </c>
      <c r="B5" s="3" t="s">
        <v>39</v>
      </c>
      <c r="C5" s="3" t="s">
        <v>45</v>
      </c>
      <c r="D5" s="11">
        <v>14500</v>
      </c>
      <c r="E5" s="11"/>
      <c r="F5" s="6">
        <f>'Emission factors'!$B$3</f>
        <v>14</v>
      </c>
      <c r="G5" s="8">
        <f>D5*F5*$B$22/1000000</f>
        <v>2.0705999999999998</v>
      </c>
    </row>
    <row r="6" spans="1:7" s="3" customFormat="1" ht="25.5">
      <c r="A6" s="3" t="s">
        <v>29</v>
      </c>
      <c r="B6" s="3" t="s">
        <v>33</v>
      </c>
      <c r="C6" s="3" t="s">
        <v>47</v>
      </c>
      <c r="D6" s="11">
        <v>100</v>
      </c>
      <c r="E6" s="11"/>
      <c r="F6" s="9">
        <f>'Emission factors'!$B$7</f>
        <v>148.00313234142521</v>
      </c>
      <c r="G6" s="8">
        <f>D6*F6*$B$22/1000000</f>
        <v>0.1509631949882537</v>
      </c>
    </row>
    <row r="7" spans="4:7" s="3" customFormat="1" ht="12.75">
      <c r="D7" s="11"/>
      <c r="E7" s="11"/>
      <c r="F7" s="6"/>
      <c r="G7" s="8"/>
    </row>
    <row r="8" spans="1:7" s="12" customFormat="1" ht="12.75">
      <c r="A8" s="12" t="s">
        <v>31</v>
      </c>
      <c r="D8" s="13">
        <f>SUM(D4:D7)</f>
        <v>14730</v>
      </c>
      <c r="E8" s="13"/>
      <c r="F8" s="14"/>
      <c r="G8" s="15">
        <f>SUM(G4:G7)</f>
        <v>2.3150166014095532</v>
      </c>
    </row>
    <row r="9" spans="4:7" s="3" customFormat="1" ht="12.75">
      <c r="D9" s="11"/>
      <c r="E9" s="11"/>
      <c r="F9" s="6"/>
      <c r="G9" s="8"/>
    </row>
    <row r="10" spans="4:7" s="3" customFormat="1" ht="12.75">
      <c r="D10" s="11"/>
      <c r="E10" s="11"/>
      <c r="F10" s="6"/>
      <c r="G10" s="8"/>
    </row>
    <row r="11" spans="4:7" s="3" customFormat="1" ht="12.75">
      <c r="D11" s="11"/>
      <c r="E11" s="11"/>
      <c r="F11" s="6"/>
      <c r="G11" s="8"/>
    </row>
    <row r="12" spans="4:7" s="3" customFormat="1" ht="12.75">
      <c r="D12" s="11"/>
      <c r="E12" s="11"/>
      <c r="F12" s="6"/>
      <c r="G12" s="8"/>
    </row>
    <row r="21" ht="12.75">
      <c r="A21" t="s">
        <v>35</v>
      </c>
    </row>
    <row r="22" spans="1:2" ht="12.75">
      <c r="A22" t="s">
        <v>27</v>
      </c>
      <c r="B22">
        <v>10.2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F1" sqref="F1:F16384"/>
    </sheetView>
  </sheetViews>
  <sheetFormatPr defaultColWidth="9.140625" defaultRowHeight="12.75"/>
  <cols>
    <col min="1" max="1" width="16.8515625" style="0" customWidth="1"/>
    <col min="2" max="2" width="22.421875" style="3" customWidth="1"/>
    <col min="3" max="3" width="14.8515625" style="0" customWidth="1"/>
    <col min="4" max="4" width="10.28125" style="10" bestFit="1" customWidth="1"/>
    <col min="5" max="5" width="12.00390625" style="10" customWidth="1"/>
    <col min="6" max="6" width="16.57421875" style="1" customWidth="1"/>
    <col min="7" max="7" width="9.57421875" style="7" bestFit="1" customWidth="1"/>
  </cols>
  <sheetData>
    <row r="1" spans="2:3" ht="12.75">
      <c r="B1" s="12" t="s">
        <v>40</v>
      </c>
      <c r="C1" s="5"/>
    </row>
    <row r="2" spans="4:7" ht="12.75">
      <c r="D2" s="10" t="s">
        <v>38</v>
      </c>
      <c r="E2" s="16" t="s">
        <v>30</v>
      </c>
      <c r="F2" s="1" t="s">
        <v>30</v>
      </c>
      <c r="G2" s="7" t="s">
        <v>31</v>
      </c>
    </row>
    <row r="3" spans="1:7" ht="12.75">
      <c r="A3" s="17" t="s">
        <v>25</v>
      </c>
      <c r="B3" s="18"/>
      <c r="C3" s="17" t="s">
        <v>44</v>
      </c>
      <c r="D3" s="19" t="s">
        <v>26</v>
      </c>
      <c r="E3" s="20" t="s">
        <v>62</v>
      </c>
      <c r="F3" s="21" t="s">
        <v>36</v>
      </c>
      <c r="G3" s="22" t="s">
        <v>37</v>
      </c>
    </row>
    <row r="4" spans="1:7" ht="25.5">
      <c r="A4" t="s">
        <v>52</v>
      </c>
      <c r="B4" s="3" t="s">
        <v>53</v>
      </c>
      <c r="C4" t="s">
        <v>54</v>
      </c>
      <c r="D4" s="10">
        <f>B26*B27</f>
        <v>820</v>
      </c>
      <c r="E4" s="10">
        <f>'Emission factors'!$C$15</f>
        <v>207</v>
      </c>
      <c r="G4" s="7">
        <f>D4*E4/1000000</f>
        <v>0.16974</v>
      </c>
    </row>
    <row r="5" spans="1:7" s="3" customFormat="1" ht="25.5">
      <c r="A5" s="3" t="s">
        <v>24</v>
      </c>
      <c r="B5" s="3" t="s">
        <v>41</v>
      </c>
      <c r="C5" s="3" t="s">
        <v>48</v>
      </c>
      <c r="D5" s="11">
        <v>230</v>
      </c>
      <c r="E5" s="11"/>
      <c r="F5" s="9">
        <f>'Emission factors'!$B$5</f>
        <v>63</v>
      </c>
      <c r="G5" s="8">
        <f>D5*F5*$B$24/1000000</f>
        <v>0.05940899999999999</v>
      </c>
    </row>
    <row r="6" spans="1:7" s="3" customFormat="1" ht="25.5">
      <c r="A6" s="3" t="s">
        <v>28</v>
      </c>
      <c r="B6" s="3" t="s">
        <v>42</v>
      </c>
      <c r="C6" s="3" t="s">
        <v>45</v>
      </c>
      <c r="D6" s="11">
        <v>10000</v>
      </c>
      <c r="E6" s="11"/>
      <c r="F6" s="6">
        <f>'Emission factors'!$B$3</f>
        <v>14</v>
      </c>
      <c r="G6" s="8">
        <f>D6*F6*$B$24/1000000</f>
        <v>0.574</v>
      </c>
    </row>
    <row r="7" spans="1:7" s="3" customFormat="1" ht="25.5">
      <c r="A7" s="3" t="s">
        <v>29</v>
      </c>
      <c r="B7" s="3" t="s">
        <v>43</v>
      </c>
      <c r="C7" s="3" t="s">
        <v>0</v>
      </c>
      <c r="D7" s="11">
        <v>2300</v>
      </c>
      <c r="E7" s="11"/>
      <c r="F7" s="9">
        <f>'Emission factors'!$B$4</f>
        <v>26.4</v>
      </c>
      <c r="G7" s="8">
        <f>D7*F7*$B$24/1000000</f>
        <v>0.24895199999999998</v>
      </c>
    </row>
    <row r="8" spans="1:7" s="3" customFormat="1" ht="25.5">
      <c r="A8" s="3" t="s">
        <v>49</v>
      </c>
      <c r="B8" s="3" t="s">
        <v>50</v>
      </c>
      <c r="C8" s="3" t="s">
        <v>47</v>
      </c>
      <c r="D8" s="11">
        <v>2000</v>
      </c>
      <c r="E8" s="11"/>
      <c r="F8" s="9">
        <f>'Emission factors'!$B$7</f>
        <v>148.00313234142521</v>
      </c>
      <c r="G8" s="8">
        <f>D8*F8*$B$24/1000000</f>
        <v>1.2136256851996867</v>
      </c>
    </row>
    <row r="9" spans="4:7" s="3" customFormat="1" ht="12.75">
      <c r="D9" s="11"/>
      <c r="E9" s="11"/>
      <c r="F9" s="9"/>
      <c r="G9" s="8"/>
    </row>
    <row r="10" spans="1:7" s="12" customFormat="1" ht="12.75">
      <c r="A10" s="12" t="s">
        <v>31</v>
      </c>
      <c r="D10" s="13">
        <f>SUM(D5:D8)</f>
        <v>14530</v>
      </c>
      <c r="E10" s="13"/>
      <c r="F10" s="14"/>
      <c r="G10" s="15">
        <f>SUM(G4:G8)</f>
        <v>2.2657266851996867</v>
      </c>
    </row>
    <row r="11" spans="4:7" s="3" customFormat="1" ht="12.75">
      <c r="D11" s="11"/>
      <c r="E11" s="11"/>
      <c r="F11" s="6"/>
      <c r="G11" s="8"/>
    </row>
    <row r="12" spans="4:7" s="3" customFormat="1" ht="12.75">
      <c r="D12" s="11"/>
      <c r="E12" s="11"/>
      <c r="F12" s="6"/>
      <c r="G12" s="8"/>
    </row>
    <row r="13" spans="4:7" s="3" customFormat="1" ht="12.75">
      <c r="D13" s="11"/>
      <c r="E13" s="11"/>
      <c r="F13" s="6"/>
      <c r="G13" s="8"/>
    </row>
    <row r="14" spans="4:7" s="3" customFormat="1" ht="12.75">
      <c r="D14" s="11"/>
      <c r="E14" s="11"/>
      <c r="F14" s="6"/>
      <c r="G14" s="8"/>
    </row>
    <row r="23" ht="12.75">
      <c r="A23" s="3" t="s">
        <v>35</v>
      </c>
    </row>
    <row r="24" spans="1:2" ht="12.75">
      <c r="A24" s="3" t="s">
        <v>27</v>
      </c>
      <c r="B24" s="3">
        <v>4.1</v>
      </c>
    </row>
    <row r="25" spans="1:2" ht="25.5">
      <c r="A25" s="3" t="s">
        <v>55</v>
      </c>
      <c r="B25" s="3">
        <v>10</v>
      </c>
    </row>
    <row r="26" spans="1:2" ht="12.75">
      <c r="A26" s="3" t="s">
        <v>56</v>
      </c>
      <c r="B26" s="3">
        <f>B24*1000/B25/10</f>
        <v>41</v>
      </c>
    </row>
    <row r="27" spans="1:2" ht="25.5">
      <c r="A27" s="3" t="s">
        <v>57</v>
      </c>
      <c r="B27" s="3">
        <v>20</v>
      </c>
    </row>
    <row r="28" ht="12.75">
      <c r="A28" s="3"/>
    </row>
    <row r="29" ht="12.75">
      <c r="A29" s="3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G5" sqref="G5"/>
    </sheetView>
  </sheetViews>
  <sheetFormatPr defaultColWidth="9.140625" defaultRowHeight="12.75"/>
  <cols>
    <col min="1" max="1" width="16.8515625" style="0" customWidth="1"/>
    <col min="2" max="2" width="22.421875" style="3" customWidth="1"/>
    <col min="3" max="3" width="14.8515625" style="0" customWidth="1"/>
    <col min="4" max="4" width="10.28125" style="10" bestFit="1" customWidth="1"/>
    <col min="5" max="5" width="12.00390625" style="10" customWidth="1"/>
    <col min="6" max="6" width="18.421875" style="1" customWidth="1"/>
    <col min="7" max="7" width="9.57421875" style="7" bestFit="1" customWidth="1"/>
  </cols>
  <sheetData>
    <row r="1" spans="2:3" ht="12.75">
      <c r="B1" s="12" t="s">
        <v>51</v>
      </c>
      <c r="C1" s="5"/>
    </row>
    <row r="2" spans="4:7" ht="12.75">
      <c r="D2" s="10" t="s">
        <v>38</v>
      </c>
      <c r="E2" s="16" t="s">
        <v>30</v>
      </c>
      <c r="F2" s="1" t="s">
        <v>30</v>
      </c>
      <c r="G2" s="7" t="s">
        <v>31</v>
      </c>
    </row>
    <row r="3" spans="1:7" ht="12.75">
      <c r="A3" s="17" t="s">
        <v>25</v>
      </c>
      <c r="B3" s="18"/>
      <c r="C3" s="17" t="s">
        <v>44</v>
      </c>
      <c r="D3" s="19" t="s">
        <v>26</v>
      </c>
      <c r="E3" s="20" t="s">
        <v>62</v>
      </c>
      <c r="F3" s="21" t="s">
        <v>36</v>
      </c>
      <c r="G3" s="22" t="s">
        <v>37</v>
      </c>
    </row>
    <row r="4" spans="1:5" ht="12.75">
      <c r="A4" t="s">
        <v>67</v>
      </c>
      <c r="B4" s="3" t="s">
        <v>68</v>
      </c>
      <c r="C4" t="s">
        <v>68</v>
      </c>
      <c r="E4" s="16"/>
    </row>
    <row r="5" spans="1:7" s="3" customFormat="1" ht="12.75">
      <c r="A5" s="3" t="s">
        <v>24</v>
      </c>
      <c r="B5" s="3" t="s">
        <v>63</v>
      </c>
      <c r="C5" s="3" t="s">
        <v>64</v>
      </c>
      <c r="D5" s="11">
        <v>4300</v>
      </c>
      <c r="E5" s="11"/>
      <c r="F5" s="9">
        <f>'Emission factors'!$B$9</f>
        <v>570</v>
      </c>
      <c r="G5" s="8">
        <f>D5*F5*$B$23/1000000</f>
        <v>2.32845</v>
      </c>
    </row>
    <row r="6" spans="1:7" s="3" customFormat="1" ht="12.75">
      <c r="A6" s="3" t="s">
        <v>28</v>
      </c>
      <c r="B6" s="3" t="s">
        <v>65</v>
      </c>
      <c r="C6" s="3" t="s">
        <v>47</v>
      </c>
      <c r="D6" s="11">
        <v>224</v>
      </c>
      <c r="E6" s="11"/>
      <c r="F6" s="9">
        <f>'Emission factors'!$B$7</f>
        <v>148.00313234142521</v>
      </c>
      <c r="G6" s="8">
        <f>D6*F6*$B$23/1000000</f>
        <v>0.03149506656225528</v>
      </c>
    </row>
    <row r="7" spans="1:7" s="3" customFormat="1" ht="25.5">
      <c r="A7" s="3" t="s">
        <v>29</v>
      </c>
      <c r="B7" s="3" t="s">
        <v>66</v>
      </c>
      <c r="C7" s="3" t="s">
        <v>47</v>
      </c>
      <c r="D7" s="11">
        <v>300</v>
      </c>
      <c r="E7" s="11"/>
      <c r="F7" s="9">
        <f>'Emission factors'!$B$7</f>
        <v>148.00313234142521</v>
      </c>
      <c r="G7" s="8">
        <f>D7*F7*$B$23/1000000</f>
        <v>0.04218089271730619</v>
      </c>
    </row>
    <row r="8" spans="4:7" s="3" customFormat="1" ht="12.75">
      <c r="D8" s="11"/>
      <c r="E8" s="11"/>
      <c r="F8" s="9"/>
      <c r="G8" s="8"/>
    </row>
    <row r="9" spans="1:7" s="12" customFormat="1" ht="12.75">
      <c r="A9" s="12" t="s">
        <v>31</v>
      </c>
      <c r="D9" s="13">
        <f>SUM(D5:D7)</f>
        <v>4824</v>
      </c>
      <c r="E9" s="13"/>
      <c r="F9" s="14"/>
      <c r="G9" s="15">
        <f>SUM(G5:G7)</f>
        <v>2.402125959279562</v>
      </c>
    </row>
    <row r="10" spans="4:7" s="3" customFormat="1" ht="12.75">
      <c r="D10" s="11"/>
      <c r="E10" s="11"/>
      <c r="F10" s="6"/>
      <c r="G10" s="8"/>
    </row>
    <row r="11" spans="4:7" s="3" customFormat="1" ht="12.75">
      <c r="D11" s="11"/>
      <c r="E11" s="11"/>
      <c r="F11" s="6"/>
      <c r="G11" s="8"/>
    </row>
    <row r="12" spans="4:7" s="3" customFormat="1" ht="12.75">
      <c r="D12" s="11"/>
      <c r="E12" s="11"/>
      <c r="F12" s="6"/>
      <c r="G12" s="8"/>
    </row>
    <row r="13" spans="4:7" s="3" customFormat="1" ht="12.75">
      <c r="D13" s="11"/>
      <c r="E13" s="11"/>
      <c r="F13" s="6"/>
      <c r="G13" s="8"/>
    </row>
    <row r="22" ht="12.75">
      <c r="A22" s="3" t="s">
        <v>35</v>
      </c>
    </row>
    <row r="23" spans="1:2" ht="12.75">
      <c r="A23" s="3" t="s">
        <v>27</v>
      </c>
      <c r="B23" s="3">
        <v>0.95</v>
      </c>
    </row>
    <row r="24" ht="12.75">
      <c r="A24" s="3"/>
    </row>
    <row r="25" ht="12.75">
      <c r="A25" s="3"/>
    </row>
    <row r="26" ht="12.75">
      <c r="A26" s="3"/>
    </row>
    <row r="27" ht="12.75">
      <c r="A27" s="3"/>
    </row>
    <row r="28" ht="12.75">
      <c r="A28" s="3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F1" sqref="F1:F16384"/>
    </sheetView>
  </sheetViews>
  <sheetFormatPr defaultColWidth="9.140625" defaultRowHeight="12.75"/>
  <cols>
    <col min="1" max="1" width="16.8515625" style="0" customWidth="1"/>
    <col min="2" max="2" width="22.421875" style="3" customWidth="1"/>
    <col min="3" max="3" width="14.8515625" style="0" customWidth="1"/>
    <col min="4" max="4" width="10.28125" style="10" bestFit="1" customWidth="1"/>
    <col min="5" max="5" width="12.00390625" style="10" customWidth="1"/>
    <col min="6" max="6" width="16.7109375" style="1" customWidth="1"/>
    <col min="7" max="7" width="9.57421875" style="7" bestFit="1" customWidth="1"/>
    <col min="8" max="8" width="11.57421875" style="0" bestFit="1" customWidth="1"/>
  </cols>
  <sheetData>
    <row r="1" spans="2:3" ht="12.75">
      <c r="B1" s="12" t="s">
        <v>69</v>
      </c>
      <c r="C1" s="5"/>
    </row>
    <row r="2" spans="4:7" ht="12.75">
      <c r="D2" s="10" t="s">
        <v>38</v>
      </c>
      <c r="E2" s="16" t="s">
        <v>30</v>
      </c>
      <c r="F2" s="1" t="s">
        <v>30</v>
      </c>
      <c r="G2" s="7" t="s">
        <v>31</v>
      </c>
    </row>
    <row r="3" spans="1:7" ht="12.75">
      <c r="A3" s="17" t="s">
        <v>25</v>
      </c>
      <c r="B3" s="18"/>
      <c r="C3" s="17" t="s">
        <v>44</v>
      </c>
      <c r="D3" s="19" t="s">
        <v>26</v>
      </c>
      <c r="E3" s="20" t="s">
        <v>62</v>
      </c>
      <c r="F3" s="21" t="s">
        <v>36</v>
      </c>
      <c r="G3" s="22" t="s">
        <v>37</v>
      </c>
    </row>
    <row r="4" spans="1:5" ht="12.75">
      <c r="A4" t="s">
        <v>67</v>
      </c>
      <c r="B4" s="3" t="s">
        <v>68</v>
      </c>
      <c r="C4" t="s">
        <v>68</v>
      </c>
      <c r="E4" s="16"/>
    </row>
    <row r="5" spans="1:7" s="3" customFormat="1" ht="12.75">
      <c r="A5" s="3" t="s">
        <v>24</v>
      </c>
      <c r="B5" s="3" t="s">
        <v>70</v>
      </c>
      <c r="C5" s="3" t="s">
        <v>0</v>
      </c>
      <c r="D5" s="11">
        <v>4700</v>
      </c>
      <c r="E5" s="11"/>
      <c r="F5" s="9">
        <f>'Emission factors'!$B$4</f>
        <v>26.4</v>
      </c>
      <c r="G5" s="8">
        <f>D5*F5*$B$23/1000000</f>
        <v>1.228392</v>
      </c>
    </row>
    <row r="6" spans="1:7" s="3" customFormat="1" ht="25.5">
      <c r="A6" s="3" t="s">
        <v>28</v>
      </c>
      <c r="B6" s="3" t="s">
        <v>71</v>
      </c>
      <c r="C6" s="3" t="s">
        <v>45</v>
      </c>
      <c r="D6" s="11">
        <v>7400</v>
      </c>
      <c r="E6" s="11"/>
      <c r="F6" s="9">
        <f>'Emission factors'!$B$3</f>
        <v>14</v>
      </c>
      <c r="G6" s="8">
        <f>D6*F6*$B$23/1000000</f>
        <v>1.02564</v>
      </c>
    </row>
    <row r="7" spans="1:7" s="3" customFormat="1" ht="25.5">
      <c r="A7" s="3" t="s">
        <v>29</v>
      </c>
      <c r="B7" s="3" t="s">
        <v>72</v>
      </c>
      <c r="C7" s="3" t="s">
        <v>47</v>
      </c>
      <c r="D7" s="11">
        <f>15*$B$25</f>
        <v>2250</v>
      </c>
      <c r="E7" s="11"/>
      <c r="F7" s="9">
        <f>'Emission factors'!$B$7</f>
        <v>148.00313234142521</v>
      </c>
      <c r="G7" s="8">
        <f>D7*F7*$B$23/1000000</f>
        <v>3.2967697729052468</v>
      </c>
    </row>
    <row r="8" spans="4:7" s="3" customFormat="1" ht="12.75">
      <c r="D8" s="11"/>
      <c r="E8" s="11"/>
      <c r="F8" s="9"/>
      <c r="G8" s="8"/>
    </row>
    <row r="9" spans="1:7" s="12" customFormat="1" ht="12.75">
      <c r="A9" s="12" t="s">
        <v>31</v>
      </c>
      <c r="D9" s="13">
        <f>SUM(D5:D7)</f>
        <v>14350</v>
      </c>
      <c r="E9" s="13"/>
      <c r="F9" s="14"/>
      <c r="G9" s="15">
        <f>SUM(G5:G7)</f>
        <v>5.550801772905247</v>
      </c>
    </row>
    <row r="10" spans="4:7" s="3" customFormat="1" ht="12.75">
      <c r="D10" s="11"/>
      <c r="E10" s="11"/>
      <c r="F10" s="6"/>
      <c r="G10" s="8"/>
    </row>
    <row r="11" spans="4:7" s="3" customFormat="1" ht="12.75">
      <c r="D11" s="11"/>
      <c r="E11" s="11"/>
      <c r="F11" s="6"/>
      <c r="G11" s="8"/>
    </row>
    <row r="12" spans="4:7" s="3" customFormat="1" ht="12.75">
      <c r="D12" s="11"/>
      <c r="E12" s="11"/>
      <c r="F12" s="6"/>
      <c r="G12" s="8"/>
    </row>
    <row r="13" spans="4:7" s="3" customFormat="1" ht="12.75">
      <c r="D13" s="11"/>
      <c r="E13" s="11"/>
      <c r="F13" s="6"/>
      <c r="G13" s="8"/>
    </row>
    <row r="22" ht="12.75">
      <c r="A22" s="3" t="s">
        <v>35</v>
      </c>
    </row>
    <row r="23" spans="1:2" ht="12.75">
      <c r="A23" s="3" t="s">
        <v>27</v>
      </c>
      <c r="B23" s="3">
        <v>9.9</v>
      </c>
    </row>
    <row r="24" ht="12.75">
      <c r="A24" s="3"/>
    </row>
    <row r="25" spans="1:2" ht="38.25">
      <c r="A25" s="3" t="s">
        <v>73</v>
      </c>
      <c r="B25" s="3">
        <v>150</v>
      </c>
    </row>
    <row r="26" ht="12.75">
      <c r="A26" s="3"/>
    </row>
    <row r="27" ht="12.75">
      <c r="A27" s="3"/>
    </row>
    <row r="28" ht="12.75">
      <c r="A28" s="3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E7"/>
  <sheetViews>
    <sheetView workbookViewId="0" topLeftCell="A1">
      <selection activeCell="E5" sqref="E5"/>
    </sheetView>
  </sheetViews>
  <sheetFormatPr defaultColWidth="9.140625" defaultRowHeight="12.75"/>
  <cols>
    <col min="4" max="4" width="15.421875" style="0" customWidth="1"/>
  </cols>
  <sheetData>
    <row r="2" spans="2:5" ht="12.75">
      <c r="B2" t="s">
        <v>74</v>
      </c>
      <c r="C2" t="s">
        <v>75</v>
      </c>
      <c r="D2" t="s">
        <v>77</v>
      </c>
      <c r="E2" t="s">
        <v>76</v>
      </c>
    </row>
    <row r="3" spans="1:5" ht="12.75">
      <c r="A3">
        <v>1</v>
      </c>
      <c r="B3">
        <v>3280</v>
      </c>
      <c r="C3">
        <f>B3+326*3+680*10</f>
        <v>11058</v>
      </c>
      <c r="D3">
        <f>C3/1000</f>
        <v>11.058</v>
      </c>
      <c r="E3">
        <v>8.2</v>
      </c>
    </row>
    <row r="4" spans="1:5" ht="12.75">
      <c r="A4">
        <v>2</v>
      </c>
      <c r="B4">
        <v>4560</v>
      </c>
      <c r="C4">
        <f>B4</f>
        <v>4560</v>
      </c>
      <c r="D4">
        <f>C4/1000</f>
        <v>4.56</v>
      </c>
      <c r="E4">
        <v>7.3</v>
      </c>
    </row>
    <row r="5" spans="1:5" ht="12.75">
      <c r="A5">
        <v>3</v>
      </c>
      <c r="B5">
        <v>4719</v>
      </c>
      <c r="C5">
        <f>B5</f>
        <v>4719</v>
      </c>
      <c r="D5">
        <f>C5/1000</f>
        <v>4.719</v>
      </c>
      <c r="E5">
        <v>2.3</v>
      </c>
    </row>
    <row r="6" spans="1:5" ht="12.75">
      <c r="A6">
        <v>4</v>
      </c>
      <c r="B6">
        <v>3901</v>
      </c>
      <c r="C6">
        <f>B6</f>
        <v>3901</v>
      </c>
      <c r="D6">
        <f>C6/1000</f>
        <v>3.901</v>
      </c>
      <c r="E6">
        <v>2.3</v>
      </c>
    </row>
    <row r="7" spans="1:5" ht="12.75">
      <c r="A7">
        <v>6</v>
      </c>
      <c r="B7">
        <v>7460</v>
      </c>
      <c r="C7">
        <f>B7</f>
        <v>7460</v>
      </c>
      <c r="D7">
        <f>C7/1000</f>
        <v>7.46</v>
      </c>
      <c r="E7">
        <v>5.6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Three Fools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Keffer</dc:creator>
  <cp:keywords/>
  <dc:description/>
  <cp:lastModifiedBy>Tom Keffer</cp:lastModifiedBy>
  <dcterms:created xsi:type="dcterms:W3CDTF">2009-03-10T23:29:02Z</dcterms:created>
  <dcterms:modified xsi:type="dcterms:W3CDTF">2009-04-12T14:29:49Z</dcterms:modified>
  <cp:category/>
  <cp:version/>
  <cp:contentType/>
  <cp:contentStatus/>
</cp:coreProperties>
</file>